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<sst xmlns="http://schemas.openxmlformats.org/spreadsheetml/2006/main" count="2033" uniqueCount="287">
  <si>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</si>
  <si>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</si>
  <si>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</si>
  <si>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</si>
  <si>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</si>
  <si>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</si>
  <si>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</si>
  <si>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</si>
  <si>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</si>
  <si>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</si>
  <si>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</si>
  <si>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</si>
  <si>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</si>
  <si>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</si>
  <si>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</si>
  <si>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</si>
  <si>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</si>
  <si>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</si>
  <si>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</si>
  <si>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</si>
  <si>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</si>
  <si>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</si>
  <si>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</si>
  <si>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</si>
  <si>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</si>
  <si>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</si>
  <si>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</si>
  <si>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</si>
  <si>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</si>
  <si>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</si>
  <si>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</si>
  <si>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</si>
  <si>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</si>
  <si>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</si>
  <si>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</si>
  <si>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</si>
  <si>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</si>
  <si>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</si>
  <si>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</si>
  <si>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</si>
  <si>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</si>
  <si>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</si>
  <si>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</si>
  <si>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</si>
  <si>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</si>
  <si>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</si>
  <si>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</si>
  <si>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</si>
  <si>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</si>
  <si>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</si>
  <si>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</si>
  <si>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</si>
  <si>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</si>
  <si>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</si>
  <si>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</si>
  <si>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</si>
  <si>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</si>
  <si>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</si>
  <si>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</si>
  <si>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</si>
  <si>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</si>
  <si>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</si>
  <si>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</si>
  <si>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</si>
  <si>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</si>
  <si>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</si>
  <si>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</si>
  <si>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</si>
  <si>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</si>
  <si>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</si>
  <si>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</si>
  <si>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</si>
  <si>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</si>
  <si>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</si>
  <si>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</si>
  <si>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</si>
  <si>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</si>
  <si>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</si>
  <si>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</si>
  <si>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</si>
  <si>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</si>
  <si>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</si>
  <si>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</si>
  <si>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</si>
  <si>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</si>
  <si>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</si>
  <si>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</si>
  <si>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</si>
  <si>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</si>
  <si>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</si>
  <si>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</si>
  <si>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</si>
  <si>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</si>
  <si>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</si>
  <si>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</si>
  <si>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</si>
  <si>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</si>
  <si>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</si>
  <si>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</si>
  <si>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</si>
  <si>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</si>
  <si>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</si>
  <si>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</si>
  <si>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</si>
  <si>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</si>
  <si>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</si>
  <si>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</si>
  <si>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</si>
  <si>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</si>
  <si>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</si>
  <si>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</si>
  <si>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</si>
  <si>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</si>
  <si>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</si>
  <si>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</si>
  <si>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</si>
  <si>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</si>
  <si>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</si>
  <si>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</si>
  <si>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</si>
  <si>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</si>
  <si>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</si>
  <si>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</si>
  <si>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</si>
  <si>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</si>
  <si>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</si>
  <si>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</si>
  <si>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</si>
  <si>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</si>
  <si>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</si>
  <si>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</si>
  <si>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</si>
  <si>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</si>
  <si>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</si>
  <si>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</si>
  <si>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</si>
  <si>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</si>
  <si>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</si>
  <si>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</si>
  <si>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</si>
  <si>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</si>
  <si>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</si>
  <si>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</si>
  <si>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</si>
  <si>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</si>
  <si>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</si>
  <si>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</si>
  <si>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</si>
  <si>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</si>
  <si>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</si>
  <si>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</si>
  <si>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</si>
  <si>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</si>
  <si>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</si>
  <si>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</si>
  <si>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</si>
  <si>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</si>
  <si>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</si>
  <si>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</si>
  <si>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</si>
  <si>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</si>
  <si>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</si>
  <si>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</si>
  <si>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</si>
  <si>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</si>
  <si>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</si>
  <si>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</si>
  <si>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</si>
  <si>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</si>
  <si>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</si>
  <si>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</si>
  <si>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</si>
  <si>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</si>
  <si>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</si>
  <si>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</si>
  <si>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</si>
  <si>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</si>
  <si>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</si>
  <si>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</si>
  <si>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</si>
  <si>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</si>
  <si>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</si>
  <si>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</si>
  <si>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</si>
  <si>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</si>
  <si>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</si>
  <si>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</si>
  <si>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</si>
  <si>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</si>
  <si>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</si>
  <si>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</si>
  <si>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</si>
  <si>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</si>
  <si>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</si>
  <si>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</si>
  <si>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</si>
  <si>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</si>
  <si>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</si>
  <si>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</si>
  <si>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</si>
  <si>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</si>
  <si>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</si>
  <si>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</si>
  <si>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</si>
  <si>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</si>
  <si>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</si>
  <si>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</si>
  <si>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</si>
  <si>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</si>
  <si>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</si>
  <si>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</si>
  <si>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</si>
  <si>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</si>
  <si>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</si>
  <si>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</si>
  <si>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</si>
  <si>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</si>
  <si>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</si>
  <si>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</si>
  <si>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</si>
  <si>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</si>
  <si>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</si>
  <si>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</si>
  <si>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</si>
  <si>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</si>
  <si>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</si>
  <si>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</si>
  <si>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</si>
  <si>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</si>
  <si>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</si>
  <si>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</si>
  <si>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</si>
  <si>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</si>
  <si>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</si>
  <si>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</si>
  <si>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</si>
  <si>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</si>
  <si>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</si>
  <si>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</si>
  <si>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</si>
  <si>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</si>
  <si>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</si>
  <si>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</si>
  <si>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</si>
  <si>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</si>
  <si>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</si>
  <si>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</si>
  <si>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</si>
  <si>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</si>
  <si>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</si>
  <si>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</si>
  <si>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</si>
  <si>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</si>
  <si>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</si>
  <si>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</si>
  <si>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</si>
  <si>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</si>
  <si>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</si>
  <si>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</si>
  <si>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</si>
  <si>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</si>
  <si>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</si>
  <si>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</si>
  <si>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</si>
  <si>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</si>
  <si>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</si>
  <si>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</si>
  <si>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</si>
  <si>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</si>
  <si>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</si>
  <si>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</si>
  <si>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</si>
  <si>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</si>
  <si>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</si>
  <si>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</si>
  <si>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</si>
  <si>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</si>
  <si>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</si>
  <si>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</si>
  <si>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</si>
  <si>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</si>
  <si>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</si>
  <si>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</si>
  <si>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</si>
  <si>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</si>
  <si>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</si>
  <si>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07.10.14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</si>
</sst>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9316764.329999998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47" sqref="A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274</v>
      </c>
      <c r="L4" s="207"/>
      <c r="M4" s="194"/>
      <c r="N4" s="180" t="s">
        <v>286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357016.76999999996</v>
      </c>
      <c r="G8" s="22">
        <f aca="true" t="shared" si="0" ref="G8:G30">F8-E8</f>
        <v>-33986.86999999994</v>
      </c>
      <c r="H8" s="51">
        <f>F8/E8*100</f>
        <v>91.30778680218937</v>
      </c>
      <c r="I8" s="36">
        <f aca="true" t="shared" si="1" ref="I8:I17">F8-D8</f>
        <v>-131459.53000000003</v>
      </c>
      <c r="J8" s="36">
        <f aca="true" t="shared" si="2" ref="J8:J14">F8/D8*100</f>
        <v>73.08783865256103</v>
      </c>
      <c r="K8" s="36">
        <f>F8-344287.2</f>
        <v>12729.569999999949</v>
      </c>
      <c r="L8" s="136">
        <f>F8/344287.2</f>
        <v>1.0369736952172488</v>
      </c>
      <c r="M8" s="22">
        <f>M10+M19+M33+M56+M68+M30</f>
        <v>39644.799999999974</v>
      </c>
      <c r="N8" s="22">
        <f>N10+N19+N33+N56+N68+N30</f>
        <v>8726.71999999999</v>
      </c>
      <c r="O8" s="36">
        <f aca="true" t="shared" si="3" ref="O8:O71">N8-M8</f>
        <v>-30918.079999999984</v>
      </c>
      <c r="P8" s="36">
        <f>F8/M8*100</f>
        <v>900.5387087335544</v>
      </c>
      <c r="Q8" s="36">
        <f>N8-37510.4</f>
        <v>-28783.68000000001</v>
      </c>
      <c r="R8" s="134">
        <f>N8/37510.4</f>
        <v>0.2326480122845928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290784.98</v>
      </c>
      <c r="G9" s="22">
        <f t="shared" si="0"/>
        <v>290784.98</v>
      </c>
      <c r="H9" s="20"/>
      <c r="I9" s="56">
        <f t="shared" si="1"/>
        <v>-96228.22000000003</v>
      </c>
      <c r="J9" s="56">
        <f t="shared" si="2"/>
        <v>75.13567495889029</v>
      </c>
      <c r="K9" s="56"/>
      <c r="L9" s="135"/>
      <c r="M9" s="20">
        <f>M10+M17</f>
        <v>32246.599999999977</v>
      </c>
      <c r="N9" s="20">
        <f>N10+N17</f>
        <v>8171.299999999988</v>
      </c>
      <c r="O9" s="36">
        <f t="shared" si="3"/>
        <v>-24075.29999999999</v>
      </c>
      <c r="P9" s="56">
        <f>F9/M9*100</f>
        <v>901.7539213436461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290784.98</v>
      </c>
      <c r="G10" s="49">
        <f t="shared" si="0"/>
        <v>-28921.119999999995</v>
      </c>
      <c r="H10" s="40">
        <f aca="true" t="shared" si="4" ref="H10:H17">F10/E10*100</f>
        <v>90.95384166895784</v>
      </c>
      <c r="I10" s="56">
        <f t="shared" si="1"/>
        <v>-96228.22000000003</v>
      </c>
      <c r="J10" s="56">
        <f t="shared" si="2"/>
        <v>75.13567495889029</v>
      </c>
      <c r="K10" s="141">
        <f>F10-272674.4</f>
        <v>18110.579999999958</v>
      </c>
      <c r="L10" s="142">
        <f>F10/272674.4</f>
        <v>1.066418336301464</v>
      </c>
      <c r="M10" s="40">
        <f>E10-вересень!E10</f>
        <v>32246.599999999977</v>
      </c>
      <c r="N10" s="40">
        <f>F10-вересень!F10</f>
        <v>8171.299999999988</v>
      </c>
      <c r="O10" s="53">
        <f t="shared" si="3"/>
        <v>-24075.29999999999</v>
      </c>
      <c r="P10" s="56">
        <f aca="true" t="shared" si="5" ref="P10:P17">N10/M10*100</f>
        <v>25.340035848740623</v>
      </c>
      <c r="Q10" s="141">
        <f>N10-29967.1</f>
        <v>-21795.80000000001</v>
      </c>
      <c r="R10" s="142">
        <f>N10/29967.1</f>
        <v>0.2726757010187836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F19-6479.1</f>
        <v>-6871.47</v>
      </c>
      <c r="L19" s="168">
        <f>F19/6479.1</f>
        <v>-0.06055933694494606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N19-362</f>
        <v>-349.9</v>
      </c>
      <c r="R19" s="135">
        <f>N19/362</f>
        <v>0.03342541436464095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F29-2860</f>
        <v>-2753.39</v>
      </c>
      <c r="L29" s="149">
        <f>F29/2860</f>
        <v>0.03727622377622378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N29-361.95</f>
        <v>-350.95</v>
      </c>
      <c r="R29" s="149">
        <f>N29/361.95</f>
        <v>0.030390937974858406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61669.79</v>
      </c>
      <c r="G33" s="49">
        <f aca="true" t="shared" si="14" ref="G33:G72">F33-E33</f>
        <v>-2866.0499999999956</v>
      </c>
      <c r="H33" s="40">
        <f aca="true" t="shared" si="15" ref="H33:H67">F33/E33*100</f>
        <v>95.55897932063796</v>
      </c>
      <c r="I33" s="56">
        <f>F33-D33</f>
        <v>-31896.21</v>
      </c>
      <c r="J33" s="56">
        <f aca="true" t="shared" si="16" ref="J33:J72">F33/D33*100</f>
        <v>65.9104696150311</v>
      </c>
      <c r="K33" s="141">
        <f>F33-60413.2</f>
        <v>1256.5900000000038</v>
      </c>
      <c r="L33" s="142">
        <f>F33/60413.2</f>
        <v>1.020799924519807</v>
      </c>
      <c r="M33" s="40">
        <f>E33-вересень!E33</f>
        <v>6833.699999999997</v>
      </c>
      <c r="N33" s="40">
        <f>F33-вересень!F33</f>
        <v>437.33000000000175</v>
      </c>
      <c r="O33" s="53">
        <f t="shared" si="3"/>
        <v>-6396.369999999995</v>
      </c>
      <c r="P33" s="56">
        <f aca="true" t="shared" si="17" ref="P33:P67">N33/M33*100</f>
        <v>6.3996078259215645</v>
      </c>
      <c r="Q33" s="141">
        <f>N33-6624.9</f>
        <v>-6187.569999999998</v>
      </c>
      <c r="R33" s="142">
        <f>N33/6624.9</f>
        <v>0.0660130718954251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45822.07</v>
      </c>
      <c r="G55" s="144">
        <f t="shared" si="14"/>
        <v>-1583.4700000000012</v>
      </c>
      <c r="H55" s="146">
        <f t="shared" si="15"/>
        <v>96.65973639367887</v>
      </c>
      <c r="I55" s="145">
        <f t="shared" si="18"/>
        <v>-24443.93</v>
      </c>
      <c r="J55" s="145">
        <f t="shared" si="16"/>
        <v>65.21229328551505</v>
      </c>
      <c r="K55" s="148">
        <f>F55-43813.51</f>
        <v>2008.5599999999977</v>
      </c>
      <c r="L55" s="149">
        <f>F55/43813.51</f>
        <v>1.0458433939668381</v>
      </c>
      <c r="M55" s="40">
        <f>E55-вересень!E55</f>
        <v>4933.700000000004</v>
      </c>
      <c r="N55" s="40">
        <f>F55-вересень!F55</f>
        <v>400.66999999999825</v>
      </c>
      <c r="O55" s="148">
        <f t="shared" si="3"/>
        <v>-4533.030000000006</v>
      </c>
      <c r="P55" s="148">
        <f t="shared" si="17"/>
        <v>8.12108559498952</v>
      </c>
      <c r="Q55" s="160">
        <f>N55-4961.43</f>
        <v>-4560.760000000002</v>
      </c>
      <c r="R55" s="161">
        <f>N55/7961.43</f>
        <v>0.05032638608893104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5666.5</v>
      </c>
      <c r="F56" s="169">
        <f>1.51+4948.01</f>
        <v>4949.52</v>
      </c>
      <c r="G56" s="49">
        <f t="shared" si="14"/>
        <v>-716.9799999999996</v>
      </c>
      <c r="H56" s="40">
        <f t="shared" si="15"/>
        <v>87.34703961881233</v>
      </c>
      <c r="I56" s="56">
        <f t="shared" si="18"/>
        <v>-1910.4799999999996</v>
      </c>
      <c r="J56" s="56">
        <f t="shared" si="16"/>
        <v>72.15043731778427</v>
      </c>
      <c r="K56" s="56">
        <f>F56-4694.5</f>
        <v>255.02000000000044</v>
      </c>
      <c r="L56" s="135">
        <f>F56/4694.5</f>
        <v>1.0543231441048035</v>
      </c>
      <c r="M56" s="40">
        <f>E56-вересень!E56</f>
        <v>553</v>
      </c>
      <c r="N56" s="40">
        <f>F56-вересень!F56</f>
        <v>105.98999999999978</v>
      </c>
      <c r="O56" s="53">
        <f t="shared" si="3"/>
        <v>-447.0100000000002</v>
      </c>
      <c r="P56" s="56">
        <f t="shared" si="17"/>
        <v>19.16636528028929</v>
      </c>
      <c r="Q56" s="56">
        <f>N56-556.2</f>
        <v>-450.21000000000026</v>
      </c>
      <c r="R56" s="135">
        <f>N56/556.2</f>
        <v>0.19056094929881298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10477.31</v>
      </c>
      <c r="G74" s="50">
        <f aca="true" t="shared" si="24" ref="G74:G92">F74-E74</f>
        <v>-3219.1900000000005</v>
      </c>
      <c r="H74" s="51">
        <f aca="true" t="shared" si="25" ref="H74:H87">F74/E74*100</f>
        <v>76.49625816814515</v>
      </c>
      <c r="I74" s="36">
        <f aca="true" t="shared" si="26" ref="I74:I92">F74-D74</f>
        <v>-7880.99</v>
      </c>
      <c r="J74" s="36">
        <f aca="true" t="shared" si="27" ref="J74:J92">F74/D74*100</f>
        <v>57.07124298001449</v>
      </c>
      <c r="K74" s="36">
        <f>F74-14585.4</f>
        <v>-4108.09</v>
      </c>
      <c r="L74" s="136">
        <f>F74/14585.4</f>
        <v>0.7183423149176573</v>
      </c>
      <c r="M74" s="22">
        <f>M77+M86+M88+M89+M94+M95+M96+M97+M99+M87+M104</f>
        <v>1516.5</v>
      </c>
      <c r="N74" s="22">
        <f>N77+N86+N88+N89+N94+N95+N96+N97+N99+N32+N104+N87+N103</f>
        <v>717.8770000000002</v>
      </c>
      <c r="O74" s="55">
        <f aca="true" t="shared" si="28" ref="O74:O92">N74-M74</f>
        <v>-798.6229999999998</v>
      </c>
      <c r="P74" s="36">
        <f>N74/M74*100</f>
        <v>47.337751401252895</v>
      </c>
      <c r="Q74" s="36">
        <f>N74-1622.9</f>
        <v>-905.0229999999999</v>
      </c>
      <c r="R74" s="136">
        <f>N74/1622.9</f>
        <v>0.4423421036416293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275.56</v>
      </c>
      <c r="G87" s="49">
        <f t="shared" si="24"/>
        <v>55.56</v>
      </c>
      <c r="H87" s="40">
        <f t="shared" si="25"/>
        <v>125.25454545454546</v>
      </c>
      <c r="I87" s="56">
        <f t="shared" si="26"/>
        <v>-224.44</v>
      </c>
      <c r="J87" s="56">
        <f t="shared" si="27"/>
        <v>55.11200000000001</v>
      </c>
      <c r="K87" s="56">
        <f>F87-210.3</f>
        <v>65.25999999999999</v>
      </c>
      <c r="L87" s="135">
        <f>F87/210.3</f>
        <v>1.3103185924869234</v>
      </c>
      <c r="M87" s="40">
        <f>E87-вересень!E87</f>
        <v>0</v>
      </c>
      <c r="N87" s="40">
        <f>F87-вересень!F87</f>
        <v>3.3100000000000023</v>
      </c>
      <c r="O87" s="53">
        <f t="shared" si="28"/>
        <v>3.3100000000000023</v>
      </c>
      <c r="P87" s="56" t="e">
        <f t="shared" si="29"/>
        <v>#DIV/0!</v>
      </c>
      <c r="Q87" s="56">
        <f>N87-12.4</f>
        <v>-9.089999999999998</v>
      </c>
      <c r="R87" s="135">
        <f>N87/12.4</f>
        <v>0.26693548387096794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99.42</v>
      </c>
      <c r="G89" s="49">
        <f t="shared" si="24"/>
        <v>-44.58</v>
      </c>
      <c r="H89" s="40">
        <f>F89/E89*100</f>
        <v>69.04166666666667</v>
      </c>
      <c r="I89" s="56">
        <f t="shared" si="26"/>
        <v>-75.58</v>
      </c>
      <c r="J89" s="56">
        <f t="shared" si="27"/>
        <v>56.81142857142857</v>
      </c>
      <c r="K89" s="56">
        <f>F89-123.2</f>
        <v>-23.78</v>
      </c>
      <c r="L89" s="135">
        <f>F89/123.2</f>
        <v>0.8069805194805195</v>
      </c>
      <c r="M89" s="40">
        <f>E89-вересень!E89</f>
        <v>15</v>
      </c>
      <c r="N89" s="40">
        <f>F89-вересень!F89</f>
        <v>1.4699999999999989</v>
      </c>
      <c r="O89" s="53">
        <f t="shared" si="28"/>
        <v>-13.530000000000001</v>
      </c>
      <c r="P89" s="56">
        <f>N89/M89*100</f>
        <v>9.799999999999992</v>
      </c>
      <c r="Q89" s="56">
        <f>N89-14.8</f>
        <v>-13.330000000000002</v>
      </c>
      <c r="R89" s="135">
        <f>N89/14.8</f>
        <v>0.09932432432432424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5936.01</v>
      </c>
      <c r="G95" s="49">
        <f t="shared" si="31"/>
        <v>104.51000000000022</v>
      </c>
      <c r="H95" s="40">
        <f>F95/E95*100</f>
        <v>101.79216325130756</v>
      </c>
      <c r="I95" s="56">
        <f t="shared" si="32"/>
        <v>-1063.9899999999998</v>
      </c>
      <c r="J95" s="56">
        <f>F95/D95*100</f>
        <v>84.80014285714286</v>
      </c>
      <c r="K95" s="56">
        <f>F95-5517.5</f>
        <v>418.5100000000002</v>
      </c>
      <c r="L95" s="135">
        <f>F95/5517.5</f>
        <v>1.0758513819664703</v>
      </c>
      <c r="M95" s="40">
        <f>E95-вересень!E95</f>
        <v>575</v>
      </c>
      <c r="N95" s="40">
        <f>F95-вересень!F95</f>
        <v>570.5900000000001</v>
      </c>
      <c r="O95" s="53">
        <f t="shared" si="33"/>
        <v>-4.4099999999998545</v>
      </c>
      <c r="P95" s="56">
        <f>N95/M95*100</f>
        <v>99.2330434782609</v>
      </c>
      <c r="Q95" s="56">
        <f>N95-569.2</f>
        <v>1.3900000000001</v>
      </c>
      <c r="R95" s="135">
        <f>N95/569.2</f>
        <v>1.0024420238931835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796.82</v>
      </c>
      <c r="G96" s="49">
        <f t="shared" si="31"/>
        <v>-107.67999999999995</v>
      </c>
      <c r="H96" s="40">
        <f>F96/E96*100</f>
        <v>88.09508015478166</v>
      </c>
      <c r="I96" s="56">
        <f t="shared" si="32"/>
        <v>-403.17999999999995</v>
      </c>
      <c r="J96" s="56">
        <f>F96/D96*100</f>
        <v>66.40166666666667</v>
      </c>
      <c r="K96" s="56">
        <f>F96-795.5</f>
        <v>1.32000000000005</v>
      </c>
      <c r="L96" s="135">
        <f>F96/795.5</f>
        <v>1.0016593337523572</v>
      </c>
      <c r="M96" s="40">
        <f>E96-вересень!E96</f>
        <v>110</v>
      </c>
      <c r="N96" s="40">
        <f>F96-вересень!F96</f>
        <v>14.440000000000055</v>
      </c>
      <c r="O96" s="53">
        <f t="shared" si="33"/>
        <v>-95.55999999999995</v>
      </c>
      <c r="P96" s="56">
        <f>N96/M96*100</f>
        <v>13.127272727272777</v>
      </c>
      <c r="Q96" s="56">
        <f>N96-102.1</f>
        <v>-87.65999999999994</v>
      </c>
      <c r="R96" s="135">
        <f>N96/102.1</f>
        <v>0.14142997061704266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3221.9</v>
      </c>
      <c r="G99" s="49">
        <f t="shared" si="31"/>
        <v>-115.09999999999991</v>
      </c>
      <c r="H99" s="40">
        <f>F99/E99*100</f>
        <v>96.55079412646089</v>
      </c>
      <c r="I99" s="56">
        <f t="shared" si="32"/>
        <v>-1350.7999999999997</v>
      </c>
      <c r="J99" s="56">
        <f>F99/D99*100</f>
        <v>70.4594659610296</v>
      </c>
      <c r="K99" s="56">
        <f>F99-3411.3</f>
        <v>-189.4000000000001</v>
      </c>
      <c r="L99" s="135">
        <f>F99/3411.3</f>
        <v>0.9444786445050274</v>
      </c>
      <c r="M99" s="40">
        <f>E99-вересень!E99</f>
        <v>330</v>
      </c>
      <c r="N99" s="40">
        <f>F99-вересень!F99</f>
        <v>128.067</v>
      </c>
      <c r="O99" s="53">
        <f t="shared" si="33"/>
        <v>-201.933</v>
      </c>
      <c r="P99" s="56">
        <f>N99/M99*100</f>
        <v>38.80818181818182</v>
      </c>
      <c r="Q99" s="56">
        <f>N99-432.2</f>
        <v>-304.133</v>
      </c>
      <c r="R99" s="135">
        <f>N99/432.2</f>
        <v>0.2963142063859325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780.5</v>
      </c>
      <c r="G102" s="144"/>
      <c r="H102" s="146"/>
      <c r="I102" s="145"/>
      <c r="J102" s="145"/>
      <c r="K102" s="148">
        <f>F102-545.2</f>
        <v>235.29999999999995</v>
      </c>
      <c r="L102" s="149">
        <f>F102/545.2</f>
        <v>1.4315847395451209</v>
      </c>
      <c r="M102" s="40">
        <f>E102-вересень!E102</f>
        <v>0</v>
      </c>
      <c r="N102" s="40">
        <f>F102-вересень!F102</f>
        <v>23.299999999999955</v>
      </c>
      <c r="O102" s="53"/>
      <c r="P102" s="60"/>
      <c r="Q102" s="60">
        <f>N102-124.1</f>
        <v>-100.80000000000004</v>
      </c>
      <c r="R102" s="138">
        <f>N102/124.1</f>
        <v>0.18775181305398836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</v>
      </c>
      <c r="G105" s="49">
        <f>F105-E105</f>
        <v>-7.300000000000001</v>
      </c>
      <c r="H105" s="40">
        <f>F105/E105*100</f>
        <v>73.16176470588235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E105-вересень!E105</f>
        <v>3</v>
      </c>
      <c r="N105" s="40">
        <f>F105-вересень!F105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367514.35</v>
      </c>
      <c r="G107" s="175">
        <f>F107-E107</f>
        <v>-37212.98999999993</v>
      </c>
      <c r="H107" s="51">
        <f>F107/E107*100</f>
        <v>90.805417296494</v>
      </c>
      <c r="I107" s="36">
        <f t="shared" si="34"/>
        <v>-139365.25</v>
      </c>
      <c r="J107" s="36">
        <f t="shared" si="36"/>
        <v>72.50525568596566</v>
      </c>
      <c r="K107" s="36">
        <f>F107-358888.5</f>
        <v>8625.849999999977</v>
      </c>
      <c r="L107" s="136">
        <f>F107/358888.5</f>
        <v>1.0240349022050024</v>
      </c>
      <c r="M107" s="22">
        <f>M8+M74+M105+M106</f>
        <v>41164.299999999974</v>
      </c>
      <c r="N107" s="22">
        <f>N8+N74+N105+N106</f>
        <v>9444.59699999999</v>
      </c>
      <c r="O107" s="55">
        <f t="shared" si="35"/>
        <v>-31719.702999999983</v>
      </c>
      <c r="P107" s="36">
        <f>N107/M107*100</f>
        <v>22.94365991891031</v>
      </c>
      <c r="Q107" s="36">
        <f>N107-39133.2</f>
        <v>-29688.603000000006</v>
      </c>
      <c r="R107" s="136">
        <f>N107/39133.2</f>
        <v>0.24134486829597354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291581.8</v>
      </c>
      <c r="G108" s="153">
        <f>G10-G18+G96</f>
        <v>-29028.799999999996</v>
      </c>
      <c r="H108" s="72">
        <f>F108/E108*100</f>
        <v>90.94577659004412</v>
      </c>
      <c r="I108" s="52">
        <f t="shared" si="34"/>
        <v>-96631.40000000002</v>
      </c>
      <c r="J108" s="52">
        <f t="shared" si="36"/>
        <v>75.10867739685307</v>
      </c>
      <c r="K108" s="52">
        <f>F108-273558.9</f>
        <v>18022.899999999965</v>
      </c>
      <c r="L108" s="137">
        <f>F108/273558.9</f>
        <v>1.0658830694230748</v>
      </c>
      <c r="M108" s="71">
        <f>M10-M18+M96</f>
        <v>32356.599999999977</v>
      </c>
      <c r="N108" s="71">
        <f>N10-N18+N96</f>
        <v>8185.739999999989</v>
      </c>
      <c r="O108" s="53">
        <f t="shared" si="35"/>
        <v>-24170.859999999986</v>
      </c>
      <c r="P108" s="52">
        <f>N108/M108*100</f>
        <v>25.298517149515078</v>
      </c>
      <c r="Q108" s="52">
        <f>N108-30069.2</f>
        <v>-21883.460000000014</v>
      </c>
      <c r="R108" s="137">
        <f>N108/30069.2</f>
        <v>0.27223005600415007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75932.54999999999</v>
      </c>
      <c r="G109" s="176">
        <f>F109-E109</f>
        <v>-8184.189999999944</v>
      </c>
      <c r="H109" s="72">
        <f>F109/E109*100</f>
        <v>90.27043844067192</v>
      </c>
      <c r="I109" s="52">
        <f t="shared" si="34"/>
        <v>-42733.84999999998</v>
      </c>
      <c r="J109" s="52">
        <f t="shared" si="36"/>
        <v>63.98824772639939</v>
      </c>
      <c r="K109" s="52">
        <f>F109-85329.7</f>
        <v>-9397.150000000009</v>
      </c>
      <c r="L109" s="137">
        <f>F109/85329.7</f>
        <v>0.8898724594133108</v>
      </c>
      <c r="M109" s="71">
        <f>M107-M108</f>
        <v>8807.699999999997</v>
      </c>
      <c r="N109" s="71">
        <f>N107-N108</f>
        <v>1258.8570000000018</v>
      </c>
      <c r="O109" s="53">
        <f t="shared" si="35"/>
        <v>-7548.842999999995</v>
      </c>
      <c r="P109" s="52">
        <f>N109/M109*100</f>
        <v>14.292687080622663</v>
      </c>
      <c r="Q109" s="52">
        <f>N109-9064</f>
        <v>-7805.142999999998</v>
      </c>
      <c r="R109" s="137">
        <f>N109/9064</f>
        <v>0.1388853706972641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291581.8</v>
      </c>
      <c r="G110" s="111">
        <f>F110-E110</f>
        <v>-23658.900000000023</v>
      </c>
      <c r="H110" s="72">
        <f>F110/E110*100</f>
        <v>92.49497288897022</v>
      </c>
      <c r="I110" s="81">
        <f t="shared" si="34"/>
        <v>-96631.40000000002</v>
      </c>
      <c r="J110" s="52">
        <f t="shared" si="36"/>
        <v>75.10867739685307</v>
      </c>
      <c r="K110" s="52"/>
      <c r="L110" s="137"/>
      <c r="M110" s="72">
        <f>E110-вересень!E110</f>
        <v>32356.600000000035</v>
      </c>
      <c r="N110" s="71">
        <f>N108</f>
        <v>8185.739999999989</v>
      </c>
      <c r="O110" s="63">
        <f t="shared" si="35"/>
        <v>-24170.860000000044</v>
      </c>
      <c r="P110" s="52">
        <f>N110/M110*100</f>
        <v>25.298517149515032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1152.4</v>
      </c>
      <c r="G115" s="49">
        <f t="shared" si="37"/>
        <v>-1854.6</v>
      </c>
      <c r="H115" s="40">
        <f aca="true" t="shared" si="39" ref="H115:H126">F115/E115*100</f>
        <v>38.32391087462588</v>
      </c>
      <c r="I115" s="60">
        <f t="shared" si="38"/>
        <v>-2519.1</v>
      </c>
      <c r="J115" s="60">
        <f aca="true" t="shared" si="40" ref="J115:J121">F115/D115*100</f>
        <v>31.387716192291983</v>
      </c>
      <c r="K115" s="60">
        <f>F115-3077.6</f>
        <v>-1925.1999999999998</v>
      </c>
      <c r="L115" s="138">
        <f>F115/3077.6</f>
        <v>0.37444762152326494</v>
      </c>
      <c r="M115" s="40">
        <f>E115-вересень!E115</f>
        <v>327.4000000000001</v>
      </c>
      <c r="N115" s="40">
        <f>F115-вересень!F115</f>
        <v>29.470000000000027</v>
      </c>
      <c r="O115" s="53">
        <f aca="true" t="shared" si="41" ref="O115:O126">N115-M115</f>
        <v>-297.93000000000006</v>
      </c>
      <c r="P115" s="60">
        <f>N115/M115*100</f>
        <v>9.001221747098356</v>
      </c>
      <c r="Q115" s="60">
        <f>N115-150.5</f>
        <v>-121.02999999999997</v>
      </c>
      <c r="R115" s="138">
        <f>N115/150.5</f>
        <v>0.19581395348837227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247.88</v>
      </c>
      <c r="G116" s="49">
        <f t="shared" si="37"/>
        <v>25.379999999999995</v>
      </c>
      <c r="H116" s="40">
        <f t="shared" si="39"/>
        <v>111.4067415730337</v>
      </c>
      <c r="I116" s="60">
        <f t="shared" si="38"/>
        <v>-20.220000000000027</v>
      </c>
      <c r="J116" s="60">
        <f t="shared" si="40"/>
        <v>92.4580380455054</v>
      </c>
      <c r="K116" s="60">
        <f>F116-200.1</f>
        <v>47.78</v>
      </c>
      <c r="L116" s="138">
        <f>F116/200.1</f>
        <v>1.2387806096951524</v>
      </c>
      <c r="M116" s="40">
        <f>E116-вересень!E116</f>
        <v>22</v>
      </c>
      <c r="N116" s="40">
        <f>F116-вересень!F116</f>
        <v>10.719999999999999</v>
      </c>
      <c r="O116" s="53">
        <f t="shared" si="41"/>
        <v>-11.280000000000001</v>
      </c>
      <c r="P116" s="60">
        <f>N116/M116*100</f>
        <v>48.72727272727273</v>
      </c>
      <c r="Q116" s="60">
        <f>N116-24.4</f>
        <v>-13.68</v>
      </c>
      <c r="R116" s="138">
        <f>N116/24.4</f>
        <v>0.43934426229508194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1400.2400000000002</v>
      </c>
      <c r="G117" s="62">
        <f t="shared" si="37"/>
        <v>-1829.2599999999998</v>
      </c>
      <c r="H117" s="72">
        <f t="shared" si="39"/>
        <v>43.35779532435362</v>
      </c>
      <c r="I117" s="61">
        <f t="shared" si="38"/>
        <v>-2539.3599999999997</v>
      </c>
      <c r="J117" s="61">
        <f t="shared" si="40"/>
        <v>35.54269468981624</v>
      </c>
      <c r="K117" s="61">
        <f>F117-3299.2</f>
        <v>-1898.9599999999996</v>
      </c>
      <c r="L117" s="139">
        <f>F117/3299.2</f>
        <v>0.4244180407371485</v>
      </c>
      <c r="M117" s="62">
        <f>M115+M116+M114</f>
        <v>349.4000000000001</v>
      </c>
      <c r="N117" s="38">
        <f>SUM(N114:N116)</f>
        <v>40.29000000000003</v>
      </c>
      <c r="O117" s="61">
        <f t="shared" si="41"/>
        <v>-309.11000000000007</v>
      </c>
      <c r="P117" s="61">
        <f>N117/M117*100</f>
        <v>11.531196336576995</v>
      </c>
      <c r="Q117" s="61">
        <f>N117-175.8</f>
        <v>-135.51</v>
      </c>
      <c r="R117" s="139">
        <f>N117/175.8</f>
        <v>0.22918088737201378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316.61</v>
      </c>
      <c r="G119" s="49">
        <f t="shared" si="37"/>
        <v>56.110000000000014</v>
      </c>
      <c r="H119" s="40">
        <f t="shared" si="39"/>
        <v>121.53934740882919</v>
      </c>
      <c r="I119" s="60">
        <f t="shared" si="38"/>
        <v>49.410000000000025</v>
      </c>
      <c r="J119" s="60">
        <f t="shared" si="40"/>
        <v>118.49176646706587</v>
      </c>
      <c r="K119" s="60">
        <f>F119-174.4</f>
        <v>142.21</v>
      </c>
      <c r="L119" s="138">
        <f>F119/174.4</f>
        <v>1.8154243119266056</v>
      </c>
      <c r="M119" s="40">
        <f>E119-вересень!E119</f>
        <v>73</v>
      </c>
      <c r="N119" s="40">
        <f>F119-вересень!F119</f>
        <v>2.4600000000000364</v>
      </c>
      <c r="O119" s="53">
        <f>N119-M119</f>
        <v>-70.53999999999996</v>
      </c>
      <c r="P119" s="60">
        <f>N119/M119*100</f>
        <v>3.3698630136986796</v>
      </c>
      <c r="Q119" s="60">
        <f>N119-1.4</f>
        <v>1.0600000000000365</v>
      </c>
      <c r="R119" s="138">
        <f>N119/1.4</f>
        <v>1.7571428571428833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61208.46</v>
      </c>
      <c r="G120" s="49">
        <f t="shared" si="37"/>
        <v>1195.8600000000006</v>
      </c>
      <c r="H120" s="40">
        <f t="shared" si="39"/>
        <v>101.99268153687726</v>
      </c>
      <c r="I120" s="53">
        <f t="shared" si="38"/>
        <v>-10767.530000000006</v>
      </c>
      <c r="J120" s="60">
        <f t="shared" si="40"/>
        <v>85.04010851396416</v>
      </c>
      <c r="K120" s="60">
        <f>F120-50659.1</f>
        <v>10549.36</v>
      </c>
      <c r="L120" s="138">
        <f>F120/50659.1</f>
        <v>1.2082421519529563</v>
      </c>
      <c r="M120" s="40">
        <f>E120-вересень!E120</f>
        <v>7500</v>
      </c>
      <c r="N120" s="40">
        <f>F120-вересень!F120</f>
        <v>1672</v>
      </c>
      <c r="O120" s="53">
        <f t="shared" si="41"/>
        <v>-5828</v>
      </c>
      <c r="P120" s="60">
        <f aca="true" t="shared" si="42" ref="P120:P125">N120/M120*100</f>
        <v>22.293333333333333</v>
      </c>
      <c r="Q120" s="60">
        <f>N120-3034.9</f>
        <v>-1362.9</v>
      </c>
      <c r="R120" s="138">
        <f>N120/3034.9</f>
        <v>0.5509242479159115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1754.76</v>
      </c>
      <c r="G121" s="49">
        <f t="shared" si="37"/>
        <v>-1444.64</v>
      </c>
      <c r="H121" s="40">
        <f t="shared" si="39"/>
        <v>54.846533725073456</v>
      </c>
      <c r="I121" s="60">
        <f t="shared" si="38"/>
        <v>-2995.24</v>
      </c>
      <c r="J121" s="60">
        <f t="shared" si="40"/>
        <v>36.94231578947368</v>
      </c>
      <c r="K121" s="60">
        <f>F121-1289.6</f>
        <v>465.1600000000001</v>
      </c>
      <c r="L121" s="138">
        <f>F121/1289.6</f>
        <v>1.3607009925558313</v>
      </c>
      <c r="M121" s="40">
        <f>E121-вересень!E121</f>
        <v>1476.4</v>
      </c>
      <c r="N121" s="40">
        <f>F121-вересень!F121</f>
        <v>0.029999999999972715</v>
      </c>
      <c r="O121" s="53">
        <f t="shared" si="41"/>
        <v>-1476.3700000000001</v>
      </c>
      <c r="P121" s="60">
        <f t="shared" si="42"/>
        <v>0.002031969655917957</v>
      </c>
      <c r="Q121" s="60">
        <f>N121-167.3</f>
        <v>-167.27000000000004</v>
      </c>
      <c r="R121" s="138">
        <f>N121/167.3</f>
        <v>0.00017931858936026727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F122-22303.9</f>
        <v>-19660.050000000003</v>
      </c>
      <c r="L122" s="138">
        <f>F122/22303.9</f>
        <v>0.1185375651791839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N122-7566.7</f>
        <v>-7316.09</v>
      </c>
      <c r="R122" s="138">
        <f>N122/7566.7</f>
        <v>0.03312011841357529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1097.22</v>
      </c>
      <c r="G123" s="49">
        <f t="shared" si="37"/>
        <v>-523.5899999999999</v>
      </c>
      <c r="H123" s="40">
        <f t="shared" si="39"/>
        <v>67.69578173876025</v>
      </c>
      <c r="I123" s="60">
        <f t="shared" si="38"/>
        <v>-902.78</v>
      </c>
      <c r="J123" s="60">
        <f>F123/D123*100</f>
        <v>54.861000000000004</v>
      </c>
      <c r="K123" s="60">
        <f>F123-1660.3</f>
        <v>-563.0799999999999</v>
      </c>
      <c r="L123" s="138">
        <f>F123/1660.3</f>
        <v>0.660856471721978</v>
      </c>
      <c r="M123" s="40">
        <f>E123-вересень!E123</f>
        <v>189.58999999999992</v>
      </c>
      <c r="N123" s="40">
        <f>F123-вересень!F123</f>
        <v>22.309999999999945</v>
      </c>
      <c r="O123" s="53">
        <f t="shared" si="41"/>
        <v>-167.27999999999997</v>
      </c>
      <c r="P123" s="60">
        <f t="shared" si="42"/>
        <v>11.767498285774543</v>
      </c>
      <c r="Q123" s="60">
        <f>N123-20.2</f>
        <v>2.109999999999946</v>
      </c>
      <c r="R123" s="138">
        <f>N123/20.2</f>
        <v>1.1044554455445519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67020.90000000001</v>
      </c>
      <c r="G124" s="62">
        <f t="shared" si="37"/>
        <v>-15648.639999999985</v>
      </c>
      <c r="H124" s="72">
        <f t="shared" si="39"/>
        <v>81.0708514889523</v>
      </c>
      <c r="I124" s="61">
        <f t="shared" si="38"/>
        <v>-35049.42</v>
      </c>
      <c r="J124" s="61">
        <f>F124/D124*100</f>
        <v>65.66149689743307</v>
      </c>
      <c r="K124" s="61">
        <f>F124-76087.4</f>
        <v>-9066.499999999985</v>
      </c>
      <c r="L124" s="139">
        <f>F124/76087.4</f>
        <v>0.8808409802411439</v>
      </c>
      <c r="M124" s="62">
        <f>M120+M121+M122+M123+M119</f>
        <v>13887.79</v>
      </c>
      <c r="N124" s="62">
        <f>N120+N121+N122+N123+N119</f>
        <v>1947.41</v>
      </c>
      <c r="O124" s="61">
        <f t="shared" si="41"/>
        <v>-11940.380000000001</v>
      </c>
      <c r="P124" s="61">
        <f t="shared" si="42"/>
        <v>14.02246145715049</v>
      </c>
      <c r="Q124" s="61">
        <f>N124-10790.5</f>
        <v>-8843.09</v>
      </c>
      <c r="R124" s="139">
        <f>N124/10790.5</f>
        <v>0.18047449145081323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24.17</v>
      </c>
      <c r="G125" s="49">
        <f t="shared" si="37"/>
        <v>-6.989999999999998</v>
      </c>
      <c r="H125" s="40">
        <f t="shared" si="39"/>
        <v>77.56739409499359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E125-вересень!E125</f>
        <v>4</v>
      </c>
      <c r="N125" s="40">
        <f>F125-вересень!F125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7371.77</v>
      </c>
      <c r="G128" s="49">
        <f aca="true" t="shared" si="43" ref="G128:G135">F128-E128</f>
        <v>651.2700000000004</v>
      </c>
      <c r="H128" s="40">
        <f>F128/E128*100</f>
        <v>109.69079681571313</v>
      </c>
      <c r="I128" s="60">
        <f aca="true" t="shared" si="44" ref="I128:I135">F128-D128</f>
        <v>-1328.2299999999996</v>
      </c>
      <c r="J128" s="60">
        <f>F128/D128*100</f>
        <v>84.73298850574713</v>
      </c>
      <c r="K128" s="60">
        <f>F128-8715.2</f>
        <v>-1343.4300000000003</v>
      </c>
      <c r="L128" s="138">
        <f>F128/8715.2</f>
        <v>0.8458520745364421</v>
      </c>
      <c r="M128" s="40">
        <f>E128-вересень!E128</f>
        <v>2</v>
      </c>
      <c r="N128" s="40">
        <f>F128-вересень!F128</f>
        <v>2.8900000000003274</v>
      </c>
      <c r="O128" s="53">
        <f aca="true" t="shared" si="45" ref="O128:O135">N128-M128</f>
        <v>0.8900000000003274</v>
      </c>
      <c r="P128" s="60">
        <f>N128/M128*100</f>
        <v>144.50000000001637</v>
      </c>
      <c r="Q128" s="60">
        <f>N128-35</f>
        <v>-32.10999999999967</v>
      </c>
      <c r="R128" s="162">
        <f>N128/35</f>
        <v>0.08257142857143793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E129-вересень!E129</f>
        <v>0</v>
      </c>
      <c r="N129" s="40">
        <f>F129-вересень!F129</f>
        <v>0</v>
      </c>
      <c r="O129" s="53">
        <f t="shared" si="45"/>
        <v>0</v>
      </c>
      <c r="P129" s="60"/>
      <c r="Q129" s="60">
        <f>N129-0.7</f>
        <v>-0.7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7416.5</v>
      </c>
      <c r="G130" s="62">
        <f t="shared" si="43"/>
        <v>657.6400000000003</v>
      </c>
      <c r="H130" s="72">
        <f>F130/E130*100</f>
        <v>109.7300432321427</v>
      </c>
      <c r="I130" s="61">
        <f t="shared" si="44"/>
        <v>-1334.2000000000007</v>
      </c>
      <c r="J130" s="61">
        <f>F130/D130*100</f>
        <v>84.75321974242061</v>
      </c>
      <c r="K130" s="61">
        <f>F130-8836.4</f>
        <v>-1419.8999999999996</v>
      </c>
      <c r="L130" s="139">
        <f>G130/8836.4</f>
        <v>0.07442397356389484</v>
      </c>
      <c r="M130" s="62">
        <f>M125+M128+M129+M127</f>
        <v>6</v>
      </c>
      <c r="N130" s="62">
        <f>N125+N128+N129+N127</f>
        <v>2.8900000000003274</v>
      </c>
      <c r="O130" s="61">
        <f t="shared" si="45"/>
        <v>-3.1099999999996726</v>
      </c>
      <c r="P130" s="61">
        <f>N130/M130*100</f>
        <v>48.16666666667213</v>
      </c>
      <c r="Q130" s="61">
        <f>N130-35.8</f>
        <v>-32.90999999999967</v>
      </c>
      <c r="R130" s="137">
        <f>N130/35.8</f>
        <v>0.08072625698324938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F131-25.4</f>
        <v>7.230000000000004</v>
      </c>
      <c r="L131" s="138">
        <f>F131/25.4</f>
        <v>1.2846456692913388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N131-7.6</f>
        <v>-6.8299999999999965</v>
      </c>
      <c r="R131" s="138">
        <f>N131/7.6</f>
        <v>0.10131578947368462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75870.27</v>
      </c>
      <c r="G134" s="50">
        <f t="shared" si="43"/>
        <v>-16811.479999999996</v>
      </c>
      <c r="H134" s="51">
        <f>F134/E134*100</f>
        <v>81.86106757802912</v>
      </c>
      <c r="I134" s="36">
        <f t="shared" si="44"/>
        <v>-38920.350000000006</v>
      </c>
      <c r="J134" s="36">
        <f>F134/D134*100</f>
        <v>66.09448576895916</v>
      </c>
      <c r="K134" s="36">
        <f>F134-88248.3</f>
        <v>-12378.029999999999</v>
      </c>
      <c r="L134" s="136">
        <f>F134/88248.3</f>
        <v>0.8597363348642411</v>
      </c>
      <c r="M134" s="31">
        <f>M117+M131+M124+M130+M133+M132</f>
        <v>14243.59</v>
      </c>
      <c r="N134" s="31">
        <f>N117+N131+N124+N130+N133+N132</f>
        <v>1991.3600000000004</v>
      </c>
      <c r="O134" s="36">
        <f t="shared" si="45"/>
        <v>-12252.23</v>
      </c>
      <c r="P134" s="36">
        <f>N134/M134*100</f>
        <v>13.980745022848875</v>
      </c>
      <c r="Q134" s="36">
        <f>N134-11009.7</f>
        <v>-9018.34</v>
      </c>
      <c r="R134" s="136">
        <f>N134/11009.7</f>
        <v>0.18087322996993563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443384.62</v>
      </c>
      <c r="G135" s="50">
        <f t="shared" si="43"/>
        <v>-54024.469999999914</v>
      </c>
      <c r="H135" s="51">
        <f>F135/E135*100</f>
        <v>89.1388253479646</v>
      </c>
      <c r="I135" s="36">
        <f t="shared" si="44"/>
        <v>-178285.59999999998</v>
      </c>
      <c r="J135" s="36">
        <f>F135/D135*100</f>
        <v>71.3215151274256</v>
      </c>
      <c r="K135" s="36">
        <f>F135-447136.8</f>
        <v>-3752.179999999993</v>
      </c>
      <c r="L135" s="136">
        <f>F135/447136.8</f>
        <v>0.9916084294560412</v>
      </c>
      <c r="M135" s="22">
        <f>M107+M134</f>
        <v>55407.88999999997</v>
      </c>
      <c r="N135" s="22">
        <f>N107+N134</f>
        <v>11435.956999999991</v>
      </c>
      <c r="O135" s="36">
        <f t="shared" si="45"/>
        <v>-43971.932999999975</v>
      </c>
      <c r="P135" s="36">
        <f>N135/M135*100</f>
        <v>20.639582196687144</v>
      </c>
      <c r="Q135" s="36">
        <f>N135-50142.9</f>
        <v>-38706.943000000014</v>
      </c>
      <c r="R135" s="136">
        <f>N135/50142.9</f>
        <v>0.22806732358918194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18</v>
      </c>
      <c r="D137" s="4" t="s">
        <v>118</v>
      </c>
    </row>
    <row r="138" spans="2:17" ht="31.5">
      <c r="B138" s="78" t="s">
        <v>154</v>
      </c>
      <c r="C138" s="39">
        <f>IF(O107&lt;0,ABS(O107/C137),0)</f>
        <v>1762.2057222222213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41919</v>
      </c>
      <c r="D139" s="39">
        <v>4514</v>
      </c>
      <c r="N139" s="211"/>
      <c r="O139" s="211"/>
    </row>
    <row r="140" spans="3:15" ht="15.75">
      <c r="C140" s="120">
        <v>41918</v>
      </c>
      <c r="D140" s="39">
        <v>1951.1</v>
      </c>
      <c r="F140" s="4" t="s">
        <v>166</v>
      </c>
      <c r="G140" s="178" t="s">
        <v>151</v>
      </c>
      <c r="H140" s="178"/>
      <c r="I140" s="115">
        <v>9020.59653</v>
      </c>
      <c r="J140" s="179" t="s">
        <v>161</v>
      </c>
      <c r="K140" s="179"/>
      <c r="L140" s="179"/>
      <c r="M140" s="179"/>
      <c r="N140" s="211"/>
      <c r="O140" s="211"/>
    </row>
    <row r="141" spans="3:15" ht="15.75">
      <c r="C141" s="120">
        <v>41915</v>
      </c>
      <c r="D141" s="39">
        <v>1889.3</v>
      </c>
      <c r="G141" s="182" t="s">
        <v>155</v>
      </c>
      <c r="H141" s="182"/>
      <c r="I141" s="112">
        <v>0</v>
      </c>
      <c r="J141" s="212" t="s">
        <v>162</v>
      </c>
      <c r="K141" s="212"/>
      <c r="L141" s="212"/>
      <c r="M141" s="212"/>
      <c r="N141" s="211"/>
      <c r="O141" s="211"/>
    </row>
    <row r="142" spans="7:13" ht="15.75" customHeight="1">
      <c r="G142" s="178" t="s">
        <v>148</v>
      </c>
      <c r="H142" s="178"/>
      <c r="I142" s="112">
        <v>0</v>
      </c>
      <c r="J142" s="179" t="s">
        <v>163</v>
      </c>
      <c r="K142" s="179"/>
      <c r="L142" s="179"/>
      <c r="M142" s="179"/>
    </row>
    <row r="143" spans="2:13" ht="18.75" customHeight="1">
      <c r="B143" s="213" t="s">
        <v>160</v>
      </c>
      <c r="C143" s="214"/>
      <c r="D143" s="117">
        <v>118717.81884</v>
      </c>
      <c r="E143" s="80"/>
      <c r="F143" s="100" t="s">
        <v>147</v>
      </c>
      <c r="G143" s="178" t="s">
        <v>149</v>
      </c>
      <c r="H143" s="178"/>
      <c r="I143" s="116">
        <v>109697.22231</v>
      </c>
      <c r="J143" s="179" t="s">
        <v>164</v>
      </c>
      <c r="K143" s="179"/>
      <c r="L143" s="179"/>
      <c r="M143" s="179"/>
    </row>
    <row r="144" spans="7:12" ht="9.75" customHeight="1">
      <c r="G144" s="215"/>
      <c r="H144" s="215"/>
      <c r="I144" s="98"/>
      <c r="J144" s="99"/>
      <c r="K144" s="99"/>
      <c r="L144" s="99"/>
    </row>
    <row r="145" spans="2:12" ht="22.5" customHeight="1">
      <c r="B145" s="216" t="s">
        <v>169</v>
      </c>
      <c r="C145" s="217"/>
      <c r="D145" s="119">
        <v>9316.764329999998</v>
      </c>
      <c r="E145" s="77" t="s">
        <v>104</v>
      </c>
      <c r="G145" s="215"/>
      <c r="H145" s="215"/>
      <c r="I145" s="98"/>
      <c r="J145" s="99"/>
      <c r="K145" s="99"/>
      <c r="L145" s="99"/>
    </row>
    <row r="146" spans="4:15" ht="15.75">
      <c r="D146" s="114"/>
      <c r="N146" s="215"/>
      <c r="O146" s="215"/>
    </row>
    <row r="147" spans="4:15" ht="15.75">
      <c r="D147" s="113"/>
      <c r="I147" s="39"/>
      <c r="N147" s="218"/>
      <c r="O147" s="218"/>
    </row>
    <row r="148" spans="14:15" ht="15.75">
      <c r="N148" s="215"/>
      <c r="O148" s="215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0" t="s">
        <v>192</v>
      </c>
      <c r="E3" s="46"/>
      <c r="F3" s="221" t="s">
        <v>107</v>
      </c>
      <c r="G3" s="222"/>
      <c r="H3" s="222"/>
      <c r="I3" s="222"/>
      <c r="J3" s="223"/>
      <c r="K3" s="123"/>
      <c r="L3" s="123"/>
      <c r="M3" s="204" t="s">
        <v>200</v>
      </c>
      <c r="N3" s="219" t="s">
        <v>178</v>
      </c>
      <c r="O3" s="219"/>
      <c r="P3" s="219"/>
      <c r="Q3" s="219"/>
      <c r="R3" s="219"/>
    </row>
    <row r="4" spans="1:18" ht="22.5" customHeight="1">
      <c r="A4" s="185"/>
      <c r="B4" s="187"/>
      <c r="C4" s="188"/>
      <c r="D4" s="220"/>
      <c r="E4" s="225" t="s">
        <v>153</v>
      </c>
      <c r="F4" s="227" t="s">
        <v>116</v>
      </c>
      <c r="G4" s="229" t="s">
        <v>175</v>
      </c>
      <c r="H4" s="200" t="s">
        <v>176</v>
      </c>
      <c r="I4" s="231" t="s">
        <v>188</v>
      </c>
      <c r="J4" s="233" t="s">
        <v>189</v>
      </c>
      <c r="K4" s="125" t="s">
        <v>174</v>
      </c>
      <c r="L4" s="130" t="s">
        <v>173</v>
      </c>
      <c r="M4" s="235"/>
      <c r="N4" s="180" t="s">
        <v>186</v>
      </c>
      <c r="O4" s="231" t="s">
        <v>136</v>
      </c>
      <c r="P4" s="219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0"/>
      <c r="E5" s="226"/>
      <c r="F5" s="228"/>
      <c r="G5" s="230"/>
      <c r="H5" s="201"/>
      <c r="I5" s="232"/>
      <c r="J5" s="234"/>
      <c r="K5" s="208" t="s">
        <v>177</v>
      </c>
      <c r="L5" s="209"/>
      <c r="M5" s="205"/>
      <c r="N5" s="181"/>
      <c r="O5" s="232"/>
      <c r="P5" s="219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8" t="s">
        <v>151</v>
      </c>
      <c r="H139" s="178"/>
      <c r="I139" s="115">
        <v>13825.22</v>
      </c>
      <c r="J139" s="179" t="s">
        <v>161</v>
      </c>
      <c r="K139" s="179"/>
      <c r="L139" s="179"/>
      <c r="M139" s="179"/>
      <c r="N139" s="211"/>
      <c r="O139" s="211"/>
    </row>
    <row r="140" spans="3:15" ht="15.75">
      <c r="C140" s="120">
        <v>41668</v>
      </c>
      <c r="D140" s="39">
        <v>1984.7</v>
      </c>
      <c r="G140" s="182" t="s">
        <v>155</v>
      </c>
      <c r="H140" s="182"/>
      <c r="I140" s="112">
        <v>0</v>
      </c>
      <c r="J140" s="212" t="s">
        <v>162</v>
      </c>
      <c r="K140" s="212"/>
      <c r="L140" s="212"/>
      <c r="M140" s="212"/>
      <c r="N140" s="211"/>
      <c r="O140" s="211"/>
    </row>
    <row r="141" spans="7:13" ht="15.75" customHeight="1">
      <c r="G141" s="178" t="s">
        <v>148</v>
      </c>
      <c r="H141" s="178"/>
      <c r="I141" s="112">
        <v>0</v>
      </c>
      <c r="J141" s="179" t="s">
        <v>163</v>
      </c>
      <c r="K141" s="179"/>
      <c r="L141" s="179"/>
      <c r="M141" s="179"/>
    </row>
    <row r="142" spans="2:13" ht="18.75" customHeight="1">
      <c r="B142" s="213" t="s">
        <v>160</v>
      </c>
      <c r="C142" s="214"/>
      <c r="D142" s="117">
        <v>111410.62</v>
      </c>
      <c r="E142" s="80"/>
      <c r="F142" s="100" t="s">
        <v>147</v>
      </c>
      <c r="G142" s="178" t="s">
        <v>149</v>
      </c>
      <c r="H142" s="178"/>
      <c r="I142" s="116">
        <v>97585.4</v>
      </c>
      <c r="J142" s="179" t="s">
        <v>164</v>
      </c>
      <c r="K142" s="179"/>
      <c r="L142" s="179"/>
      <c r="M142" s="179"/>
    </row>
    <row r="143" spans="7:12" ht="9.75" customHeight="1">
      <c r="G143" s="215"/>
      <c r="H143" s="215"/>
      <c r="I143" s="98"/>
      <c r="J143" s="99"/>
      <c r="K143" s="99"/>
      <c r="L143" s="99"/>
    </row>
    <row r="144" spans="2:12" ht="22.5" customHeight="1">
      <c r="B144" s="216" t="s">
        <v>169</v>
      </c>
      <c r="C144" s="217"/>
      <c r="D144" s="119">
        <v>0</v>
      </c>
      <c r="E144" s="77" t="s">
        <v>104</v>
      </c>
      <c r="G144" s="215"/>
      <c r="H144" s="215"/>
      <c r="I144" s="98"/>
      <c r="J144" s="99"/>
      <c r="K144" s="99"/>
      <c r="L144" s="99"/>
    </row>
    <row r="145" spans="4:15" ht="15.75">
      <c r="D145" s="114"/>
      <c r="N145" s="215"/>
      <c r="O145" s="215"/>
    </row>
    <row r="146" spans="4:15" ht="15.75">
      <c r="D146" s="113"/>
      <c r="I146" s="39"/>
      <c r="N146" s="218"/>
      <c r="O146" s="218"/>
    </row>
    <row r="147" spans="14:15" ht="15.75">
      <c r="N147" s="215"/>
      <c r="O147" s="21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0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8" t="s">
        <v>151</v>
      </c>
      <c r="H140" s="178"/>
      <c r="I140" s="115">
        <f>9020596.53/1000</f>
        <v>9020.596529999999</v>
      </c>
      <c r="J140" s="179" t="s">
        <v>161</v>
      </c>
      <c r="K140" s="179"/>
      <c r="L140" s="179"/>
      <c r="M140" s="179"/>
      <c r="N140" s="211"/>
      <c r="O140" s="211"/>
    </row>
    <row r="141" spans="3:15" ht="15.75">
      <c r="C141" s="120">
        <v>41908</v>
      </c>
      <c r="D141" s="39">
        <v>1468</v>
      </c>
      <c r="G141" s="182" t="s">
        <v>155</v>
      </c>
      <c r="H141" s="182"/>
      <c r="I141" s="112">
        <v>0</v>
      </c>
      <c r="J141" s="212" t="s">
        <v>162</v>
      </c>
      <c r="K141" s="212"/>
      <c r="L141" s="212"/>
      <c r="M141" s="212"/>
      <c r="N141" s="211"/>
      <c r="O141" s="211"/>
    </row>
    <row r="142" spans="7:13" ht="15.75" customHeight="1">
      <c r="G142" s="178" t="s">
        <v>148</v>
      </c>
      <c r="H142" s="178"/>
      <c r="I142" s="112">
        <v>0</v>
      </c>
      <c r="J142" s="179" t="s">
        <v>163</v>
      </c>
      <c r="K142" s="179"/>
      <c r="L142" s="179"/>
      <c r="M142" s="179"/>
    </row>
    <row r="143" spans="2:13" ht="18.75" customHeight="1">
      <c r="B143" s="213" t="s">
        <v>160</v>
      </c>
      <c r="C143" s="214"/>
      <c r="D143" s="117">
        <f>121201109.21/1000</f>
        <v>121201.10921</v>
      </c>
      <c r="E143" s="80"/>
      <c r="F143" s="100" t="s">
        <v>147</v>
      </c>
      <c r="G143" s="178" t="s">
        <v>149</v>
      </c>
      <c r="H143" s="178"/>
      <c r="I143" s="116">
        <f>112180512.68/1000</f>
        <v>112180.51268000001</v>
      </c>
      <c r="J143" s="179" t="s">
        <v>164</v>
      </c>
      <c r="K143" s="179"/>
      <c r="L143" s="179"/>
      <c r="M143" s="179"/>
    </row>
    <row r="144" spans="7:12" ht="9.75" customHeight="1">
      <c r="G144" s="215"/>
      <c r="H144" s="215"/>
      <c r="I144" s="98"/>
      <c r="J144" s="99"/>
      <c r="K144" s="99"/>
      <c r="L144" s="99"/>
    </row>
    <row r="145" spans="2:12" ht="22.5" customHeight="1">
      <c r="B145" s="216" t="s">
        <v>169</v>
      </c>
      <c r="C145" s="217"/>
      <c r="D145" s="119">
        <f>17426016.57/1000</f>
        <v>17426.01657</v>
      </c>
      <c r="E145" s="77" t="s">
        <v>104</v>
      </c>
      <c r="G145" s="215"/>
      <c r="H145" s="215"/>
      <c r="I145" s="98"/>
      <c r="J145" s="99"/>
      <c r="K145" s="99"/>
      <c r="L145" s="99"/>
    </row>
    <row r="146" spans="4:15" ht="15.75">
      <c r="D146" s="114"/>
      <c r="N146" s="215"/>
      <c r="O146" s="215"/>
    </row>
    <row r="147" spans="4:15" ht="15.75">
      <c r="D147" s="113"/>
      <c r="I147" s="39"/>
      <c r="N147" s="218"/>
      <c r="O147" s="218"/>
    </row>
    <row r="148" spans="14:15" ht="15.75">
      <c r="N148" s="215"/>
      <c r="O148" s="21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0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8" t="s">
        <v>151</v>
      </c>
      <c r="H140" s="178"/>
      <c r="I140" s="115">
        <v>13829.857960000001</v>
      </c>
      <c r="J140" s="179" t="s">
        <v>161</v>
      </c>
      <c r="K140" s="179"/>
      <c r="L140" s="179"/>
      <c r="M140" s="179"/>
      <c r="N140" s="211"/>
      <c r="O140" s="211"/>
    </row>
    <row r="141" spans="3:15" ht="15.75">
      <c r="C141" s="120">
        <v>41878</v>
      </c>
      <c r="D141" s="39">
        <v>1194.3</v>
      </c>
      <c r="G141" s="182" t="s">
        <v>155</v>
      </c>
      <c r="H141" s="182"/>
      <c r="I141" s="112">
        <v>0</v>
      </c>
      <c r="J141" s="212" t="s">
        <v>162</v>
      </c>
      <c r="K141" s="212"/>
      <c r="L141" s="212"/>
      <c r="M141" s="212"/>
      <c r="N141" s="211"/>
      <c r="O141" s="211"/>
    </row>
    <row r="142" spans="7:13" ht="15.75" customHeight="1">
      <c r="G142" s="178" t="s">
        <v>148</v>
      </c>
      <c r="H142" s="178"/>
      <c r="I142" s="112">
        <v>0</v>
      </c>
      <c r="J142" s="179" t="s">
        <v>163</v>
      </c>
      <c r="K142" s="179"/>
      <c r="L142" s="179"/>
      <c r="M142" s="179"/>
    </row>
    <row r="143" spans="2:13" ht="18.75" customHeight="1">
      <c r="B143" s="213" t="s">
        <v>160</v>
      </c>
      <c r="C143" s="214"/>
      <c r="D143" s="117">
        <v>127799.14</v>
      </c>
      <c r="E143" s="80"/>
      <c r="F143" s="100" t="s">
        <v>147</v>
      </c>
      <c r="G143" s="178" t="s">
        <v>149</v>
      </c>
      <c r="H143" s="178"/>
      <c r="I143" s="116">
        <v>113969.28</v>
      </c>
      <c r="J143" s="179" t="s">
        <v>164</v>
      </c>
      <c r="K143" s="179"/>
      <c r="L143" s="179"/>
      <c r="M143" s="179"/>
    </row>
    <row r="144" spans="7:12" ht="9.75" customHeight="1">
      <c r="G144" s="215"/>
      <c r="H144" s="215"/>
      <c r="I144" s="98"/>
      <c r="J144" s="99"/>
      <c r="K144" s="99"/>
      <c r="L144" s="99"/>
    </row>
    <row r="145" spans="2:12" ht="22.5" customHeight="1">
      <c r="B145" s="216" t="s">
        <v>169</v>
      </c>
      <c r="C145" s="217"/>
      <c r="D145" s="119">
        <v>18493.9</v>
      </c>
      <c r="E145" s="77" t="s">
        <v>104</v>
      </c>
      <c r="G145" s="215"/>
      <c r="H145" s="215"/>
      <c r="I145" s="98"/>
      <c r="J145" s="99"/>
      <c r="K145" s="99"/>
      <c r="L145" s="99"/>
    </row>
    <row r="146" spans="4:15" ht="15.75">
      <c r="D146" s="114"/>
      <c r="N146" s="215"/>
      <c r="O146" s="215"/>
    </row>
    <row r="147" spans="4:15" ht="15.75">
      <c r="D147" s="113"/>
      <c r="I147" s="39"/>
      <c r="N147" s="218"/>
      <c r="O147" s="218"/>
    </row>
    <row r="148" spans="14:15" ht="15.75">
      <c r="N148" s="215"/>
      <c r="O148" s="215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0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8" t="s">
        <v>151</v>
      </c>
      <c r="H140" s="178"/>
      <c r="I140" s="115">
        <f>13825221.96/1000</f>
        <v>13825.22196</v>
      </c>
      <c r="J140" s="179" t="s">
        <v>161</v>
      </c>
      <c r="K140" s="179"/>
      <c r="L140" s="179"/>
      <c r="M140" s="179"/>
      <c r="N140" s="211"/>
      <c r="O140" s="211"/>
    </row>
    <row r="141" spans="3:15" ht="15.75">
      <c r="C141" s="120">
        <v>41849</v>
      </c>
      <c r="D141" s="39">
        <v>4403.7</v>
      </c>
      <c r="G141" s="182" t="s">
        <v>155</v>
      </c>
      <c r="H141" s="182"/>
      <c r="I141" s="112">
        <v>0</v>
      </c>
      <c r="J141" s="212" t="s">
        <v>162</v>
      </c>
      <c r="K141" s="212"/>
      <c r="L141" s="212"/>
      <c r="M141" s="212"/>
      <c r="N141" s="211"/>
      <c r="O141" s="211"/>
    </row>
    <row r="142" spans="7:13" ht="15.75" customHeight="1">
      <c r="G142" s="178" t="s">
        <v>148</v>
      </c>
      <c r="H142" s="178"/>
      <c r="I142" s="112">
        <f>'[1]залишки  (2)'!$G$8/1000</f>
        <v>0</v>
      </c>
      <c r="J142" s="179" t="s">
        <v>163</v>
      </c>
      <c r="K142" s="179"/>
      <c r="L142" s="179"/>
      <c r="M142" s="179"/>
    </row>
    <row r="143" spans="2:13" ht="18.75" customHeight="1">
      <c r="B143" s="213" t="s">
        <v>160</v>
      </c>
      <c r="C143" s="214"/>
      <c r="D143" s="117">
        <f>120856761.09/1000</f>
        <v>120856.76109</v>
      </c>
      <c r="E143" s="80"/>
      <c r="F143" s="100" t="s">
        <v>147</v>
      </c>
      <c r="G143" s="178" t="s">
        <v>149</v>
      </c>
      <c r="H143" s="178"/>
      <c r="I143" s="116">
        <f>107031539.13/1000</f>
        <v>107031.53912999999</v>
      </c>
      <c r="J143" s="179" t="s">
        <v>164</v>
      </c>
      <c r="K143" s="179"/>
      <c r="L143" s="179"/>
      <c r="M143" s="179"/>
    </row>
    <row r="144" spans="7:12" ht="9.75" customHeight="1">
      <c r="G144" s="215"/>
      <c r="H144" s="215"/>
      <c r="I144" s="98"/>
      <c r="J144" s="99"/>
      <c r="K144" s="99"/>
      <c r="L144" s="99"/>
    </row>
    <row r="145" spans="2:12" ht="22.5" customHeight="1">
      <c r="B145" s="216" t="s">
        <v>169</v>
      </c>
      <c r="C145" s="217"/>
      <c r="D145" s="119">
        <f>26199804.73/1000</f>
        <v>26199.80473</v>
      </c>
      <c r="E145" s="77" t="s">
        <v>104</v>
      </c>
      <c r="G145" s="215"/>
      <c r="H145" s="215"/>
      <c r="I145" s="98"/>
      <c r="J145" s="99"/>
      <c r="K145" s="99"/>
      <c r="L145" s="99"/>
    </row>
    <row r="146" spans="4:15" ht="15.75">
      <c r="D146" s="114"/>
      <c r="N146" s="215"/>
      <c r="O146" s="215"/>
    </row>
    <row r="147" spans="4:15" ht="15.75">
      <c r="D147" s="113"/>
      <c r="I147" s="39"/>
      <c r="N147" s="218"/>
      <c r="O147" s="218"/>
    </row>
    <row r="148" spans="14:15" ht="15.75">
      <c r="N148" s="215"/>
      <c r="O148" s="21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0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8" t="s">
        <v>151</v>
      </c>
      <c r="H140" s="178"/>
      <c r="I140" s="115">
        <f>'[1]залишки  (2)'!$G$9/1000</f>
        <v>9020.59653</v>
      </c>
      <c r="J140" s="179" t="s">
        <v>161</v>
      </c>
      <c r="K140" s="179"/>
      <c r="L140" s="179"/>
      <c r="M140" s="179"/>
      <c r="N140" s="211"/>
      <c r="O140" s="211"/>
    </row>
    <row r="141" spans="3:15" ht="15.75">
      <c r="C141" s="120">
        <v>41815</v>
      </c>
      <c r="D141" s="39">
        <v>1877.7</v>
      </c>
      <c r="G141" s="182" t="s">
        <v>155</v>
      </c>
      <c r="H141" s="182"/>
      <c r="I141" s="112">
        <v>0</v>
      </c>
      <c r="J141" s="212" t="s">
        <v>162</v>
      </c>
      <c r="K141" s="212"/>
      <c r="L141" s="212"/>
      <c r="M141" s="212"/>
      <c r="N141" s="211"/>
      <c r="O141" s="211"/>
    </row>
    <row r="142" spans="7:13" ht="15.75" customHeight="1">
      <c r="G142" s="178" t="s">
        <v>148</v>
      </c>
      <c r="H142" s="178"/>
      <c r="I142" s="112">
        <f>'[1]залишки  (2)'!$G$8/1000</f>
        <v>0</v>
      </c>
      <c r="J142" s="179" t="s">
        <v>163</v>
      </c>
      <c r="K142" s="179"/>
      <c r="L142" s="179"/>
      <c r="M142" s="179"/>
    </row>
    <row r="143" spans="2:13" ht="18.75" customHeight="1">
      <c r="B143" s="213" t="s">
        <v>160</v>
      </c>
      <c r="C143" s="214"/>
      <c r="D143" s="117">
        <v>117976.29</v>
      </c>
      <c r="E143" s="80"/>
      <c r="F143" s="100" t="s">
        <v>147</v>
      </c>
      <c r="G143" s="178" t="s">
        <v>149</v>
      </c>
      <c r="H143" s="178"/>
      <c r="I143" s="116">
        <v>104151.07</v>
      </c>
      <c r="J143" s="179" t="s">
        <v>164</v>
      </c>
      <c r="K143" s="179"/>
      <c r="L143" s="179"/>
      <c r="M143" s="179"/>
    </row>
    <row r="144" spans="7:12" ht="9.75" customHeight="1">
      <c r="G144" s="215"/>
      <c r="H144" s="215"/>
      <c r="I144" s="98"/>
      <c r="J144" s="99"/>
      <c r="K144" s="99"/>
      <c r="L144" s="99"/>
    </row>
    <row r="145" spans="2:12" ht="22.5" customHeight="1">
      <c r="B145" s="216" t="s">
        <v>169</v>
      </c>
      <c r="C145" s="217"/>
      <c r="D145" s="119">
        <v>41386</v>
      </c>
      <c r="E145" s="77" t="s">
        <v>104</v>
      </c>
      <c r="G145" s="215"/>
      <c r="H145" s="215"/>
      <c r="I145" s="98"/>
      <c r="J145" s="99"/>
      <c r="K145" s="99"/>
      <c r="L145" s="99"/>
    </row>
    <row r="146" spans="4:15" ht="15.75">
      <c r="D146" s="114"/>
      <c r="N146" s="215"/>
      <c r="O146" s="215"/>
    </row>
    <row r="147" spans="4:15" ht="15.75">
      <c r="D147" s="113"/>
      <c r="I147" s="39"/>
      <c r="N147" s="218"/>
      <c r="O147" s="218"/>
    </row>
    <row r="148" spans="14:15" ht="15.75">
      <c r="N148" s="215"/>
      <c r="O148" s="215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0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8" t="s">
        <v>151</v>
      </c>
      <c r="H139" s="178"/>
      <c r="I139" s="115">
        <v>13825.22196</v>
      </c>
      <c r="J139" s="179" t="s">
        <v>161</v>
      </c>
      <c r="K139" s="179"/>
      <c r="L139" s="179"/>
      <c r="M139" s="179"/>
      <c r="N139" s="211"/>
      <c r="O139" s="211"/>
    </row>
    <row r="140" spans="3:15" ht="15.75">
      <c r="C140" s="120">
        <v>41787</v>
      </c>
      <c r="D140" s="39">
        <v>2595.2</v>
      </c>
      <c r="G140" s="182" t="s">
        <v>155</v>
      </c>
      <c r="H140" s="182"/>
      <c r="I140" s="112">
        <v>0</v>
      </c>
      <c r="J140" s="212" t="s">
        <v>162</v>
      </c>
      <c r="K140" s="212"/>
      <c r="L140" s="212"/>
      <c r="M140" s="212"/>
      <c r="N140" s="211"/>
      <c r="O140" s="211"/>
    </row>
    <row r="141" spans="7:13" ht="15.75" customHeight="1">
      <c r="G141" s="178" t="s">
        <v>148</v>
      </c>
      <c r="H141" s="178"/>
      <c r="I141" s="112">
        <v>0</v>
      </c>
      <c r="J141" s="179" t="s">
        <v>163</v>
      </c>
      <c r="K141" s="179"/>
      <c r="L141" s="179"/>
      <c r="M141" s="179"/>
    </row>
    <row r="142" spans="2:13" ht="18.75" customHeight="1">
      <c r="B142" s="213" t="s">
        <v>160</v>
      </c>
      <c r="C142" s="214"/>
      <c r="D142" s="117">
        <v>118982.48</v>
      </c>
      <c r="E142" s="80"/>
      <c r="F142" s="100" t="s">
        <v>147</v>
      </c>
      <c r="G142" s="178" t="s">
        <v>149</v>
      </c>
      <c r="H142" s="178"/>
      <c r="I142" s="116">
        <v>105157.26</v>
      </c>
      <c r="J142" s="179" t="s">
        <v>164</v>
      </c>
      <c r="K142" s="179"/>
      <c r="L142" s="179"/>
      <c r="M142" s="179"/>
    </row>
    <row r="143" spans="7:12" ht="9.75" customHeight="1">
      <c r="G143" s="215"/>
      <c r="H143" s="215"/>
      <c r="I143" s="98"/>
      <c r="J143" s="99"/>
      <c r="K143" s="99"/>
      <c r="L143" s="99"/>
    </row>
    <row r="144" spans="2:12" ht="22.5" customHeight="1">
      <c r="B144" s="216" t="s">
        <v>169</v>
      </c>
      <c r="C144" s="217"/>
      <c r="D144" s="119">
        <v>27359.4</v>
      </c>
      <c r="E144" s="77" t="s">
        <v>104</v>
      </c>
      <c r="G144" s="215"/>
      <c r="H144" s="215"/>
      <c r="I144" s="98"/>
      <c r="J144" s="99"/>
      <c r="K144" s="99"/>
      <c r="L144" s="99"/>
    </row>
    <row r="145" spans="4:15" ht="15.75">
      <c r="D145" s="114"/>
      <c r="N145" s="215"/>
      <c r="O145" s="215"/>
    </row>
    <row r="146" spans="4:15" ht="15.75">
      <c r="D146" s="113"/>
      <c r="I146" s="39"/>
      <c r="N146" s="218"/>
      <c r="O146" s="218"/>
    </row>
    <row r="147" spans="14:15" ht="15.75">
      <c r="N147" s="215"/>
      <c r="O147" s="215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0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8" t="s">
        <v>151</v>
      </c>
      <c r="H139" s="178"/>
      <c r="I139" s="115">
        <v>13825.22</v>
      </c>
      <c r="J139" s="179" t="s">
        <v>161</v>
      </c>
      <c r="K139" s="179"/>
      <c r="L139" s="179"/>
      <c r="M139" s="179"/>
      <c r="N139" s="211"/>
      <c r="O139" s="211"/>
    </row>
    <row r="140" spans="3:15" ht="15.75">
      <c r="C140" s="120">
        <v>41757</v>
      </c>
      <c r="D140" s="39">
        <v>1923.2</v>
      </c>
      <c r="G140" s="182" t="s">
        <v>155</v>
      </c>
      <c r="H140" s="182"/>
      <c r="I140" s="112">
        <v>0</v>
      </c>
      <c r="J140" s="212" t="s">
        <v>162</v>
      </c>
      <c r="K140" s="212"/>
      <c r="L140" s="212"/>
      <c r="M140" s="212"/>
      <c r="N140" s="211"/>
      <c r="O140" s="211"/>
    </row>
    <row r="141" spans="7:13" ht="15.75" customHeight="1">
      <c r="G141" s="178" t="s">
        <v>148</v>
      </c>
      <c r="H141" s="178"/>
      <c r="I141" s="112">
        <v>0</v>
      </c>
      <c r="J141" s="179" t="s">
        <v>163</v>
      </c>
      <c r="K141" s="179"/>
      <c r="L141" s="179"/>
      <c r="M141" s="179"/>
    </row>
    <row r="142" spans="2:13" ht="18.75" customHeight="1">
      <c r="B142" s="213" t="s">
        <v>160</v>
      </c>
      <c r="C142" s="214"/>
      <c r="D142" s="117">
        <v>123251.48</v>
      </c>
      <c r="E142" s="80"/>
      <c r="F142" s="100" t="s">
        <v>147</v>
      </c>
      <c r="G142" s="178" t="s">
        <v>149</v>
      </c>
      <c r="H142" s="178"/>
      <c r="I142" s="116">
        <v>109426.25</v>
      </c>
      <c r="J142" s="179" t="s">
        <v>164</v>
      </c>
      <c r="K142" s="179"/>
      <c r="L142" s="179"/>
      <c r="M142" s="179"/>
    </row>
    <row r="143" spans="7:12" ht="9.75" customHeight="1">
      <c r="G143" s="215"/>
      <c r="H143" s="215"/>
      <c r="I143" s="98"/>
      <c r="J143" s="99"/>
      <c r="K143" s="99"/>
      <c r="L143" s="99"/>
    </row>
    <row r="144" spans="2:12" ht="22.5" customHeight="1">
      <c r="B144" s="216" t="s">
        <v>169</v>
      </c>
      <c r="C144" s="217"/>
      <c r="D144" s="119">
        <f>'[1]надх'!$B$52/1000</f>
        <v>9316.764329999998</v>
      </c>
      <c r="E144" s="77" t="s">
        <v>104</v>
      </c>
      <c r="G144" s="215"/>
      <c r="H144" s="215"/>
      <c r="I144" s="98"/>
      <c r="J144" s="99"/>
      <c r="K144" s="99"/>
      <c r="L144" s="99"/>
    </row>
    <row r="145" spans="4:15" ht="15.75">
      <c r="D145" s="114"/>
      <c r="N145" s="215"/>
      <c r="O145" s="215"/>
    </row>
    <row r="146" spans="4:15" ht="15.75">
      <c r="D146" s="113"/>
      <c r="I146" s="39"/>
      <c r="N146" s="218"/>
      <c r="O146" s="218"/>
    </row>
    <row r="147" spans="14:15" ht="15.75">
      <c r="N147" s="215"/>
      <c r="O147" s="21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0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1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8" t="s">
        <v>151</v>
      </c>
      <c r="H139" s="178"/>
      <c r="I139" s="115">
        <v>13825.22196</v>
      </c>
      <c r="J139" s="179" t="s">
        <v>161</v>
      </c>
      <c r="K139" s="179"/>
      <c r="L139" s="179"/>
      <c r="M139" s="179"/>
      <c r="N139" s="211"/>
      <c r="O139" s="211"/>
    </row>
    <row r="140" spans="3:15" ht="15.75">
      <c r="C140" s="120">
        <v>41725</v>
      </c>
      <c r="D140" s="39">
        <v>3360.7</v>
      </c>
      <c r="G140" s="182" t="s">
        <v>155</v>
      </c>
      <c r="H140" s="182"/>
      <c r="I140" s="112">
        <v>0</v>
      </c>
      <c r="J140" s="212" t="s">
        <v>162</v>
      </c>
      <c r="K140" s="212"/>
      <c r="L140" s="212"/>
      <c r="M140" s="212"/>
      <c r="N140" s="211"/>
      <c r="O140" s="211"/>
    </row>
    <row r="141" spans="7:13" ht="15.75" customHeight="1">
      <c r="G141" s="178" t="s">
        <v>148</v>
      </c>
      <c r="H141" s="178"/>
      <c r="I141" s="112">
        <v>0</v>
      </c>
      <c r="J141" s="179" t="s">
        <v>163</v>
      </c>
      <c r="K141" s="179"/>
      <c r="L141" s="179"/>
      <c r="M141" s="179"/>
    </row>
    <row r="142" spans="2:13" ht="18.75" customHeight="1">
      <c r="B142" s="213" t="s">
        <v>160</v>
      </c>
      <c r="C142" s="214"/>
      <c r="D142" s="117">
        <v>114985.02570999999</v>
      </c>
      <c r="E142" s="80"/>
      <c r="F142" s="100" t="s">
        <v>147</v>
      </c>
      <c r="G142" s="178" t="s">
        <v>149</v>
      </c>
      <c r="H142" s="178"/>
      <c r="I142" s="116">
        <v>101159.80375</v>
      </c>
      <c r="J142" s="179" t="s">
        <v>164</v>
      </c>
      <c r="K142" s="179"/>
      <c r="L142" s="179"/>
      <c r="M142" s="179"/>
    </row>
    <row r="143" spans="7:12" ht="9.75" customHeight="1">
      <c r="G143" s="215"/>
      <c r="H143" s="215"/>
      <c r="I143" s="98"/>
      <c r="J143" s="99"/>
      <c r="K143" s="99"/>
      <c r="L143" s="99"/>
    </row>
    <row r="144" spans="2:12" ht="22.5" customHeight="1">
      <c r="B144" s="216" t="s">
        <v>169</v>
      </c>
      <c r="C144" s="217"/>
      <c r="D144" s="119">
        <v>3918.1</v>
      </c>
      <c r="E144" s="77" t="s">
        <v>104</v>
      </c>
      <c r="G144" s="215"/>
      <c r="H144" s="215"/>
      <c r="I144" s="98"/>
      <c r="J144" s="99"/>
      <c r="K144" s="99"/>
      <c r="L144" s="99"/>
    </row>
    <row r="145" spans="4:15" ht="15.75">
      <c r="D145" s="114"/>
      <c r="N145" s="215"/>
      <c r="O145" s="215"/>
    </row>
    <row r="146" spans="4:15" ht="15.75">
      <c r="D146" s="113"/>
      <c r="I146" s="39"/>
      <c r="N146" s="218"/>
      <c r="O146" s="218"/>
    </row>
    <row r="147" spans="14:15" ht="15.75">
      <c r="N147" s="215"/>
      <c r="O147" s="215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0" t="s">
        <v>187</v>
      </c>
      <c r="E3" s="46"/>
      <c r="F3" s="221" t="s">
        <v>107</v>
      </c>
      <c r="G3" s="222"/>
      <c r="H3" s="222"/>
      <c r="I3" s="222"/>
      <c r="J3" s="223"/>
      <c r="K3" s="123"/>
      <c r="L3" s="123"/>
      <c r="M3" s="224" t="s">
        <v>190</v>
      </c>
      <c r="N3" s="219" t="s">
        <v>185</v>
      </c>
      <c r="O3" s="219"/>
      <c r="P3" s="219"/>
      <c r="Q3" s="219"/>
      <c r="R3" s="219"/>
    </row>
    <row r="4" spans="1:18" ht="22.5" customHeight="1">
      <c r="A4" s="185"/>
      <c r="B4" s="187"/>
      <c r="C4" s="188"/>
      <c r="D4" s="220"/>
      <c r="E4" s="225" t="s">
        <v>191</v>
      </c>
      <c r="F4" s="227" t="s">
        <v>116</v>
      </c>
      <c r="G4" s="229" t="s">
        <v>167</v>
      </c>
      <c r="H4" s="200" t="s">
        <v>168</v>
      </c>
      <c r="I4" s="231" t="s">
        <v>188</v>
      </c>
      <c r="J4" s="233" t="s">
        <v>189</v>
      </c>
      <c r="K4" s="125" t="s">
        <v>174</v>
      </c>
      <c r="L4" s="130" t="s">
        <v>173</v>
      </c>
      <c r="M4" s="224"/>
      <c r="N4" s="180" t="s">
        <v>194</v>
      </c>
      <c r="O4" s="231" t="s">
        <v>136</v>
      </c>
      <c r="P4" s="219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0"/>
      <c r="E5" s="226"/>
      <c r="F5" s="228"/>
      <c r="G5" s="230"/>
      <c r="H5" s="201"/>
      <c r="I5" s="232"/>
      <c r="J5" s="234"/>
      <c r="K5" s="208" t="s">
        <v>184</v>
      </c>
      <c r="L5" s="209"/>
      <c r="M5" s="224"/>
      <c r="N5" s="181"/>
      <c r="O5" s="232"/>
      <c r="P5" s="219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8" t="s">
        <v>151</v>
      </c>
      <c r="H139" s="178"/>
      <c r="I139" s="115">
        <v>13825.22</v>
      </c>
      <c r="J139" s="179" t="s">
        <v>161</v>
      </c>
      <c r="K139" s="179"/>
      <c r="L139" s="179"/>
      <c r="M139" s="179"/>
      <c r="N139" s="211"/>
      <c r="O139" s="211"/>
    </row>
    <row r="140" spans="3:15" ht="15.75">
      <c r="C140" s="120">
        <v>41696</v>
      </c>
      <c r="D140" s="39">
        <v>3746.1</v>
      </c>
      <c r="G140" s="182" t="s">
        <v>155</v>
      </c>
      <c r="H140" s="182"/>
      <c r="I140" s="112">
        <v>0</v>
      </c>
      <c r="J140" s="212" t="s">
        <v>162</v>
      </c>
      <c r="K140" s="212"/>
      <c r="L140" s="212"/>
      <c r="M140" s="212"/>
      <c r="N140" s="211"/>
      <c r="O140" s="211"/>
    </row>
    <row r="141" spans="7:13" ht="15.75" customHeight="1">
      <c r="G141" s="178" t="s">
        <v>148</v>
      </c>
      <c r="H141" s="178"/>
      <c r="I141" s="112">
        <f>'[1]залишки  (2)'!$G$8/1000</f>
        <v>0</v>
      </c>
      <c r="J141" s="179" t="s">
        <v>163</v>
      </c>
      <c r="K141" s="179"/>
      <c r="L141" s="179"/>
      <c r="M141" s="179"/>
    </row>
    <row r="142" spans="2:13" ht="18.75" customHeight="1">
      <c r="B142" s="213" t="s">
        <v>160</v>
      </c>
      <c r="C142" s="214"/>
      <c r="D142" s="117">
        <v>121970.53</v>
      </c>
      <c r="E142" s="80"/>
      <c r="F142" s="100" t="s">
        <v>147</v>
      </c>
      <c r="G142" s="178" t="s">
        <v>149</v>
      </c>
      <c r="H142" s="178"/>
      <c r="I142" s="116">
        <v>108145.31</v>
      </c>
      <c r="J142" s="179" t="s">
        <v>164</v>
      </c>
      <c r="K142" s="179"/>
      <c r="L142" s="179"/>
      <c r="M142" s="179"/>
    </row>
    <row r="143" spans="7:12" ht="9.75" customHeight="1">
      <c r="G143" s="215"/>
      <c r="H143" s="215"/>
      <c r="I143" s="98"/>
      <c r="J143" s="99"/>
      <c r="K143" s="99"/>
      <c r="L143" s="99"/>
    </row>
    <row r="144" spans="2:12" ht="22.5" customHeight="1">
      <c r="B144" s="216" t="s">
        <v>169</v>
      </c>
      <c r="C144" s="217"/>
      <c r="D144" s="119">
        <v>0</v>
      </c>
      <c r="E144" s="77" t="s">
        <v>104</v>
      </c>
      <c r="G144" s="215"/>
      <c r="H144" s="215"/>
      <c r="I144" s="98"/>
      <c r="J144" s="99"/>
      <c r="K144" s="99"/>
      <c r="L144" s="99"/>
    </row>
    <row r="145" spans="4:15" ht="15.75">
      <c r="D145" s="114"/>
      <c r="N145" s="215"/>
      <c r="O145" s="215"/>
    </row>
    <row r="146" spans="4:15" ht="15.75">
      <c r="D146" s="113"/>
      <c r="I146" s="39"/>
      <c r="N146" s="218"/>
      <c r="O146" s="218"/>
    </row>
    <row r="147" spans="14:15" ht="15.75">
      <c r="N147" s="215"/>
      <c r="O147" s="21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2014-10-08T12:33:38Z</cp:lastPrinted>
  <dcterms:created xsi:type="dcterms:W3CDTF">2003-07-28T11:27:56Z</dcterms:created>
  <dcterms:modified xsi:type="dcterms:W3CDTF">2014-10-08T13:34:15Z</dcterms:modified>
  <cp:category/>
  <cp:version/>
  <cp:contentType/>
  <cp:contentStatus/>
</cp:coreProperties>
</file>